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drba-my.sharepoint.com/personal/fielcm_drba_net/Documents/Desktop/"/>
    </mc:Choice>
  </mc:AlternateContent>
  <xr:revisionPtr revIDLastSave="0" documentId="8_{4DF611E5-726F-4919-8A7D-1CEA1DE1CAB0}" xr6:coauthVersionLast="47" xr6:coauthVersionMax="47" xr10:uidLastSave="{00000000-0000-0000-0000-000000000000}"/>
  <bookViews>
    <workbookView xWindow="1620" yWindow="765" windowWidth="26355" windowHeight="14655"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8" i="59" l="1"/>
  <c r="Q15" i="58"/>
  <c r="Q14" i="58"/>
  <c r="Q13" i="58"/>
  <c r="Q12" i="58"/>
  <c r="Q11" i="58"/>
  <c r="Q10" i="58"/>
  <c r="Q9" i="58"/>
  <c r="Q8" i="58"/>
  <c r="Q7" i="58"/>
  <c r="Q6"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M48" i="70"/>
  <c r="I42" i="70"/>
  <c r="I34" i="70"/>
  <c r="C34" i="70"/>
  <c r="F28" i="70"/>
  <c r="A12" i="70"/>
  <c r="C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C9" i="68"/>
  <c r="C8" i="68"/>
  <c r="M299" i="67"/>
  <c r="P269" i="67"/>
  <c r="A265" i="67"/>
  <c r="O240" i="67"/>
  <c r="A237" i="67"/>
  <c r="O214" i="67"/>
  <c r="A210" i="67"/>
  <c r="O168" i="67"/>
  <c r="A165" i="67"/>
  <c r="O123" i="67"/>
  <c r="A120" i="67"/>
  <c r="P89" i="67"/>
  <c r="A86" i="67"/>
  <c r="A52" i="67"/>
  <c r="M49" i="67"/>
  <c r="B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B10" i="70" l="1"/>
  <c r="G148" i="70" s="1"/>
  <c r="B10" i="68"/>
  <c r="Q159" i="68" s="1"/>
  <c r="J289" i="67"/>
  <c r="C64" i="67"/>
  <c r="C58" i="67"/>
  <c r="K76" i="70"/>
  <c r="G37" i="70"/>
  <c r="E60" i="70"/>
  <c r="H60" i="70" s="1"/>
  <c r="L93" i="70"/>
  <c r="F133" i="70"/>
  <c r="G41" i="70"/>
  <c r="M77" i="70"/>
  <c r="I94" i="70"/>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K116" i="70" l="1"/>
  <c r="K115" i="70"/>
  <c r="K116" i="68"/>
  <c r="K114" i="69"/>
  <c r="H135" i="70"/>
  <c r="K135" i="70" s="1"/>
  <c r="K111" i="68"/>
  <c r="K113" i="67"/>
  <c r="K116" i="67"/>
  <c r="K113" i="69"/>
  <c r="K114" i="70"/>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H142" i="70" l="1"/>
  <c r="K142" i="70" s="1"/>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F17" i="59"/>
  <c r="F23" i="59"/>
  <c r="J20" i="59"/>
  <c r="H20" i="59"/>
  <c r="L20" i="59"/>
  <c r="L21" i="59"/>
  <c r="J22" i="59"/>
  <c r="H23"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J139" i="59"/>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H66" i="59"/>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40" i="59"/>
  <c r="G40" i="59"/>
  <c r="G42" i="59"/>
  <c r="G37" i="59"/>
  <c r="G43" i="59"/>
  <c r="G41" i="59"/>
  <c r="G38" i="59"/>
  <c r="J31" i="59"/>
  <c r="Q147" i="59"/>
  <c r="G44" i="59"/>
  <c r="O154" i="59"/>
  <c r="L156" i="59"/>
  <c r="H100" i="59"/>
  <c r="G220" i="59"/>
  <c r="J220" i="59" s="1"/>
  <c r="J111" i="59"/>
  <c r="F229" i="59"/>
  <c r="F302" i="59"/>
  <c r="Q155"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G184" i="59"/>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I101" i="59" l="1"/>
  <c r="K110"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C75" i="59"/>
  <c r="K111" i="59"/>
  <c r="G263" i="59"/>
  <c r="F258" i="59"/>
  <c r="F263" i="59"/>
  <c r="D233" i="59"/>
  <c r="G261" i="59"/>
  <c r="L109"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<sst xmlns="http://schemas.openxmlformats.org/spreadsheetml/2006/main" count="2958" uniqueCount="762">
  <si>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</si>
  <si>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</si>
  <si>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</si>
  <si>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</si>
  <si>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</si>
  <si>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</si>
  <si>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</si>
  <si>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</si>
  <si>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</si>
  <si>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</si>
  <si>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</si>
  <si>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</si>
  <si>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</si>
  <si>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</si>
  <si>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</si>
  <si>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</si>
  <si>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</si>
  <si>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</si>
  <si>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</si>
  <si>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</si>
  <si>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</si>
  <si>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</si>
  <si>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</si>
  <si>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</si>
  <si>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</si>
  <si>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</si>
  <si>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</si>
  <si>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</si>
  <si>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</si>
  <si>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</si>
  <si>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</si>
  <si>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</si>
  <si>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</si>
  <si>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</si>
  <si>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</si>
  <si>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</si>
  <si>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</si>
  <si>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</si>
  <si>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</si>
  <si>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</si>
  <si>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</si>
  <si>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</si>
  <si>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</si>
  <si>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</si>
  <si>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</si>
  <si>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</si>
  <si>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</si>
  <si>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</si>
  <si>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</si>
  <si>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</si>
  <si>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</si>
  <si>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</si>
  <si>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</si>
  <si>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</si>
  <si>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</si>
  <si>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</si>
  <si>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</si>
  <si>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</si>
  <si>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</si>
  <si>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</si>
  <si>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</si>
  <si>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</si>
  <si>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</si>
  <si>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</si>
  <si>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</si>
  <si>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</si>
  <si>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</si>
  <si>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</si>
  <si>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</si>
  <si>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</si>
  <si>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</si>
  <si>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</si>
  <si>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</si>
  <si>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</si>
  <si>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</si>
  <si>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</si>
  <si>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</si>
  <si>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</si>
  <si>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</si>
  <si>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</si>
  <si>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</si>
  <si>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</si>
  <si>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</si>
  <si>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</si>
  <si>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</si>
  <si>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</si>
  <si>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</si>
  <si>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</si>
  <si>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</si>
  <si>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</si>
  <si>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</si>
  <si>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</si>
  <si>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</si>
  <si>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</si>
  <si>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</si>
  <si>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</si>
  <si>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</si>
  <si>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</si>
  <si>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</si>
  <si>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</si>
  <si>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</si>
  <si>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</si>
  <si>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</si>
  <si>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</si>
  <si>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</si>
  <si>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</si>
  <si>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</si>
  <si>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</si>
  <si>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</si>
  <si>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</si>
  <si>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</si>
  <si>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</si>
  <si>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</si>
  <si>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</si>
  <si>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</si>
  <si>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</si>
  <si>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</si>
  <si>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</si>
  <si>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</si>
  <si>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</si>
  <si>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</si>
  <si>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</si>
  <si>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</si>
  <si>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</si>
  <si>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</si>
  <si>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</si>
  <si>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</si>
  <si>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</si>
  <si>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</si>
  <si>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</si>
  <si>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</si>
  <si>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</si>
  <si>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</si>
  <si>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</si>
  <si>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</si>
  <si>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</si>
  <si>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</si>
  <si>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</si>
  <si>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</si>
  <si>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</si>
  <si>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</si>
  <si>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</si>
  <si>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</si>
  <si>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</si>
  <si>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</si>
  <si>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</si>
  <si>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</si>
  <si>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</si>
  <si>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</si>
  <si>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</si>
  <si>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</si>
  <si>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</si>
  <si>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</si>
  <si>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</si>
  <si>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</si>
  <si>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</si>
  <si>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</si>
  <si>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</si>
  <si>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</si>
  <si>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</si>
  <si>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</si>
  <si>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</si>
  <si>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</si>
  <si>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</si>
  <si>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</si>
  <si>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</si>
  <si>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</si>
  <si>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</si>
  <si>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</si>
  <si>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</si>
  <si>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</si>
  <si>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</si>
  <si>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</si>
  <si>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</si>
  <si>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</si>
  <si>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</si>
  <si>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</si>
  <si>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</si>
  <si>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</si>
  <si>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</si>
  <si>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</si>
  <si>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</si>
  <si>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</si>
  <si>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</si>
  <si>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</si>
  <si>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</si>
  <si>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</si>
  <si>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</si>
  <si>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</si>
  <si>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</si>
  <si>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</si>
  <si>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</si>
  <si>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</si>
  <si>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</si>
  <si>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</si>
  <si>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</si>
  <si>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</si>
  <si>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</si>
  <si>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</si>
  <si>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</si>
  <si>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</si>
  <si>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</si>
  <si>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</si>
  <si>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</si>
  <si>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</si>
  <si>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</si>
  <si>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</si>
  <si>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</si>
  <si>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</si>
  <si>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</si>
  <si>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</si>
  <si>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</si>
  <si>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</si>
  <si>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</si>
  <si>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</si>
  <si>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</si>
  <si>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</si>
  <si>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</si>
  <si>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</si>
  <si>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</si>
  <si>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</si>
  <si>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</si>
  <si>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</si>
  <si>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</si>
  <si>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</si>
  <si>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</si>
  <si>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</si>
  <si>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</si>
  <si>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</si>
  <si>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</si>
  <si>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</si>
  <si>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</si>
  <si>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</si>
  <si>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</si>
  <si>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</si>
  <si>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</si>
  <si>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</si>
  <si>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</si>
  <si>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</si>
  <si>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</si>
  <si>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</si>
  <si>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</si>
  <si>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</si>
  <si>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</si>
  <si>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</si>
  <si>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</si>
  <si>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</si>
  <si>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</si>
  <si>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</si>
  <si>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</si>
  <si>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</si>
  <si>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</si>
  <si>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</si>
  <si>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</si>
  <si>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</si>
  <si>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</si>
  <si>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</si>
  <si>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</si>
  <si>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</si>
  <si>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</si>
  <si>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</si>
  <si>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</si>
  <si>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</si>
  <si>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</si>
  <si>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</si>
  <si>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</si>
  <si>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</si>
  <si>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</si>
  <si>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</si>
  <si>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</si>
  <si>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</si>
  <si>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</si>
  <si>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</si>
  <si>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</si>
  <si>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</si>
  <si>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</si>
  <si>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</si>
  <si>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</si>
  <si>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</si>
  <si>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</si>
  <si>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</si>
  <si>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</si>
  <si>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</si>
  <si>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</si>
  <si>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</si>
  <si>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</si>
  <si>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</si>
  <si>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</si>
  <si>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</si>
  <si>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</si>
  <si>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</si>
  <si>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</si>
  <si>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</si>
  <si>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</si>
  <si>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</si>
  <si>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</si>
  <si>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</si>
  <si>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</si>
  <si>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</si>
  <si>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</si>
  <si>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</si>
  <si>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</si>
  <si>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</si>
  <si>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</si>
  <si>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</si>
  <si>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</si>
  <si>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</si>
  <si>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</si>
  <si>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</si>
  <si>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</si>
  <si>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</si>
  <si>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</si>
  <si>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</si>
  <si>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</si>
  <si>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</si>
  <si>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</si>
  <si>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</si>
  <si>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</si>
  <si>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</si>
  <si>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</si>
  <si>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</si>
  <si>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</si>
  <si>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</si>
  <si>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</si>
  <si>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</si>
  <si>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</si>
  <si>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</si>
  <si>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</si>
  <si>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</si>
  <si>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</si>
  <si>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</si>
  <si>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</si>
  <si>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</si>
  <si>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</si>
  <si>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</si>
  <si>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</si>
  <si>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</si>
  <si>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</si>
  <si>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</si>
  <si>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</si>
  <si>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</si>
  <si>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</si>
  <si>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</si>
  <si>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</si>
  <si>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</si>
  <si>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</si>
  <si>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</si>
  <si>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</si>
  <si>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</si>
  <si>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</si>
  <si>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</si>
  <si>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</si>
  <si>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</si>
  <si>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</si>
  <si>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</si>
  <si>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</si>
  <si>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</si>
  <si>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</si>
  <si>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</si>
  <si>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</si>
  <si>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</si>
  <si>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</si>
  <si>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</si>
  <si>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</si>
  <si>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</si>
  <si>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</si>
  <si>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</si>
  <si>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</si>
  <si>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</si>
  <si>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</si>
  <si>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</si>
  <si>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</si>
  <si>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</si>
  <si>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</si>
  <si>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</si>
  <si>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</si>
  <si>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</si>
  <si>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</si>
  <si>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</si>
  <si>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</si>
  <si>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</si>
  <si>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</si>
  <si>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</si>
  <si>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</si>
  <si>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</si>
  <si>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</si>
  <si>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</si>
  <si>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</si>
  <si>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</si>
  <si>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</si>
  <si>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</si>
  <si>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</si>
  <si>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</si>
  <si>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</si>
  <si>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</si>
  <si>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</si>
  <si>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</si>
  <si>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</si>
  <si>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</si>
  <si>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</si>
  <si>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</si>
  <si>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</si>
  <si>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</si>
  <si>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</si>
  <si>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</si>
  <si>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</si>
  <si>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</si>
  <si>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</si>
  <si>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</si>
  <si>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</si>
  <si>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</si>
  <si>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</si>
  <si>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</si>
  <si>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</si>
  <si>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</si>
  <si>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</si>
  <si>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</si>
  <si>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</si>
  <si>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</si>
  <si>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</si>
  <si>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</si>
  <si>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</si>
  <si>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</si>
  <si>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</si>
  <si>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</si>
  <si>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</si>
  <si>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</si>
  <si>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</si>
  <si>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</si>
  <si>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</si>
  <si>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</si>
  <si>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</si>
  <si>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</si>
  <si>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</si>
  <si>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</si>
  <si>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</si>
  <si>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</si>
  <si>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</si>
  <si>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</si>
  <si>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</si>
  <si>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</si>
  <si>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</si>
  <si>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</si>
  <si>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</si>
  <si>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</si>
  <si>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</si>
  <si>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</si>
  <si>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</si>
  <si>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</si>
  <si>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</si>
  <si>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</si>
  <si>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</si>
  <si>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</si>
  <si>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</si>
  <si>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</si>
  <si>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</si>
  <si>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</si>
  <si>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</si>
  <si>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</si>
  <si>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</si>
  <si>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</si>
  <si>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</si>
  <si>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</si>
  <si>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</si>
  <si>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</si>
  <si>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</si>
  <si>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</si>
  <si>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</si>
  <si>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</si>
  <si>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</si>
  <si>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</si>
  <si>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</si>
  <si>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</si>
  <si>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</si>
  <si>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</si>
  <si>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</si>
  <si>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</si>
  <si>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</si>
  <si>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</si>
  <si>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</si>
  <si>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</si>
  <si>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</si>
  <si>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</si>
  <si>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</si>
  <si>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</si>
  <si>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</si>
  <si>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</si>
  <si>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</si>
  <si>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</si>
  <si>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</si>
  <si>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</si>
  <si>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</si>
  <si>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</si>
  <si>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</si>
  <si>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</si>
  <si>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</si>
  <si>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</si>
  <si>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</si>
  <si>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</si>
  <si>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</si>
  <si>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</si>
  <si>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</si>
  <si>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</si>
  <si>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</si>
  <si>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</si>
  <si>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</si>
  <si>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</si>
  <si>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</si>
  <si>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</si>
  <si>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</si>
  <si>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</si>
  <si>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</si>
  <si>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</si>
  <si>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</si>
  <si>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</si>
  <si>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</si>
  <si>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</si>
  <si>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</si>
  <si>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</si>
  <si>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</si>
  <si>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</si>
  <si>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</si>
  <si>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</si>
  <si>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</si>
  <si>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</si>
  <si>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</si>
  <si>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</si>
  <si>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</si>
  <si>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</si>
  <si>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</si>
  <si>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</si>
  <si>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</si>
  <si>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</si>
  <si>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</si>
  <si>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</si>
  <si>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</si>
  <si>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</si>
  <si>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</si>
  <si>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</si>
  <si>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</si>
  <si>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</si>
  <si>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</si>
  <si>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</si>
  <si>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</si>
  <si>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</si>
  <si>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</si>
  <si>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</si>
  <si>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</si>
  <si>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</si>
  <si>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</si>
  <si>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</si>
  <si>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</si>
  <si>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</si>
  <si>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</si>
  <si>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</si>
  <si>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</si>
  <si>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</si>
  <si>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</si>
  <si>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</si>
  <si>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</si>
  <si>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</si>
  <si>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</si>
  <si>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</si>
  <si>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</si>
  <si>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</si>
  <si>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</si>
  <si>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</si>
  <si>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</si>
  <si>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</si>
  <si>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</si>
  <si>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</si>
  <si>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</si>
  <si>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</si>
  <si>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</si>
  <si>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</si>
  <si>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</si>
  <si>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</si>
  <si>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</si>
  <si>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</si>
  <si>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</si>
  <si>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</si>
  <si>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</si>
  <si>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</si>
  <si>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</si>
  <si>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</si>
  <si>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</si>
  <si>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</si>
  <si>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</si>
  <si>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</si>
  <si>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</si>
  <si>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</si>
  <si>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</si>
  <si>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</si>
  <si>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</si>
  <si>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</si>
  <si>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</si>
  <si>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</si>
  <si>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</si>
  <si>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</si>
  <si>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</si>
  <si>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</si>
  <si>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</si>
  <si>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</si>
  <si>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</si>
  <si>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</si>
  <si>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</si>
  <si>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</si>
  <si>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</si>
  <si>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</si>
  <si>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</si>
  <si>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</si>
  <si>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</si>
  <si>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</si>
  <si>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</si>
  <si>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</si>
  <si>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</si>
  <si>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</si>
  <si>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</si>
  <si>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</si>
  <si>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</si>
  <si>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</si>
  <si>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</si>
  <si>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</si>
  <si>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</si>
  <si>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</si>
  <si>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</si>
  <si>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</si>
  <si>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</si>
  <si>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</si>
  <si>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</si>
  <si>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</si>
  <si>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</si>
  <si>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</si>
  <si>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</si>
  <si>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</si>
  <si>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</si>
  <si>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</si>
  <si>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</si>
  <si>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</si>
  <si>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</si>
  <si>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</si>
  <si>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</si>
  <si>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</si>
  <si>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</si>
  <si>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</si>
  <si>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</si>
  <si>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</si>
  <si>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</si>
  <si>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</si>
  <si>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</si>
  <si>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</si>
  <si>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</si>
  <si>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</si>
  <si>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</si>
  <si>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</si>
  <si>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</si>
  <si>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</si>
  <si>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</si>
  <si>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</si>
  <si>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</si>
  <si>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</si>
  <si>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</si>
  <si>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</si>
  <si>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</si>
  <si>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</si>
  <si>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</si>
  <si>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</si>
  <si>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</si>
  <si>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</si>
  <si>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</si>
  <si>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</si>
  <si>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</si>
  <si>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</si>
  <si>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</si>
  <si>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</si>
  <si>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</si>
  <si>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</si>
  <si>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</si>
  <si>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</si>
  <si>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</si>
  <si>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</si>
  <si>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</si>
  <si>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</si>
  <si>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</si>
  <si>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</si>
  <si>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</si>
  <si>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</si>
  <si>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</si>
  <si>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</si>
  <si>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</si>
  <si>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</si>
  <si>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</si>
  <si>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</si>
  <si>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</si>
  <si>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</si>
  <si>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</si>
  <si>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</si>
  <si>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</si>
  <si>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</si>
  <si>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</si>
  <si>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</si>
  <si>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</si>
  <si>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</si>
  <si>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</si>
  <si>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</si>
  <si>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</si>
  <si>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</si>
  <si>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</si>
  <si>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</si>
  <si>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</si>
  <si>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</si>
  <si>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</si>
  <si>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</si>
  <si>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</si>
  <si>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</si>
  <si>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</si>
  <si>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</si>
  <si>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</si>
  <si>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</si>
  <si>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</si>
  <si>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</si>
  <si>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</si>
  <si>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</si>
  <si>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</si>
  <si>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</si>
  <si>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</si>
  <si>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</si>
  <si>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</si>
  <si>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</si>
  <si>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</si>
  <si>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</si>
  <si>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</si>
  <si>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</si>
  <si>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</si>
  <si>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</si>
  <si>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</si>
  <si>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</si>
  <si>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</si>
  <si>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</si>
  <si>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</si>
  <si>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</si>
  <si>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</si>
  <si>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</si>
  <si>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</si>
  <si>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</si>
  <si>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</si>
  <si>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</si>
  <si>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</si>
  <si>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</si>
  <si>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</si>
  <si>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</si>
  <si>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</si>
  <si>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</si>
  <si>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</si>
  <si>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</si>
  <si>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</si>
  <si>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Delaware River &amp; Bay Authority Police Department</t>
  </si>
  <si>
    <t>DRBAPD (Cape May)</t>
  </si>
  <si>
    <t>PS2025-002</t>
  </si>
  <si>
    <t>Hispanic or Latino</t>
  </si>
  <si>
    <t>White</t>
  </si>
  <si>
    <t>Not Hispanic or Latino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</si>
</sst>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opLeftCell="A6" zoomScaleNormal="100" workbookViewId="0">
      <selection activeCell="C16" sqref="C16:F16"/>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2025</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zoomScale="80" zoomScaleNormal="80" zoomScaleSheetLayoutView="78" zoomScalePageLayoutView="60" workbookViewId="0"/>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v>2025</v>
      </c>
      <c r="C8" s="196" t="str">
        <f>$B$8&amp;" Internal Affairs Summary"</f>
        <v>2025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45658</v>
      </c>
      <c r="C9" s="240">
        <f>'Start Here'!$C$16</f>
        <v>2025</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46022</v>
      </c>
      <c r="C10" s="241" t="str">
        <f>"Internal Affairs: "&amp;$B$8&amp;" Snapshot"</f>
        <v>Internal Affairs: 2025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2025.</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1</v>
      </c>
      <c r="G24" s="178"/>
      <c r="H24" s="177">
        <f t="shared" si="1"/>
        <v>0</v>
      </c>
      <c r="I24" s="177"/>
      <c r="J24" s="177">
        <f t="shared" si="2"/>
        <v>0</v>
      </c>
      <c r="K24" s="177"/>
      <c r="L24" s="177">
        <f t="shared" si="3"/>
        <v>0</v>
      </c>
      <c r="M24" s="177"/>
    </row>
    <row r="25" spans="3:16" ht="18.75" x14ac:dyDescent="0.3">
      <c r="C25" s="87"/>
      <c r="D25" s="87"/>
      <c r="E25" s="102" t="s">
        <v>615</v>
      </c>
      <c r="F25" s="210">
        <f>SUM(F16:F24)</f>
        <v>1</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2025</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1</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f t="shared" ref="F32" si="5">IF(SUM($F31:$J31)=0, "", F31/SUM($F31:$J31))</f>
        <v>0</v>
      </c>
      <c r="G32" s="207"/>
      <c r="H32" s="208">
        <f t="shared" ref="H32" si="6">IF(SUM($F31:$J31)=0, "", H31/SUM($F31:$J31))</f>
        <v>1</v>
      </c>
      <c r="I32" s="208"/>
      <c r="J32" s="207">
        <f>IF(SUM($F31:$J31)=0, "", J31/SUM($F31:$J31))</f>
        <v>0</v>
      </c>
      <c r="K32" s="209"/>
    </row>
    <row r="33" spans="1:17" ht="15.75" thickBot="1" x14ac:dyDescent="0.3"/>
    <row r="34" spans="1:17" ht="36.75" customHeight="1" x14ac:dyDescent="0.3">
      <c r="C34" s="174" t="str">
        <f>"Frequency of discipline by type for complaints closed in "&amp;$B$8</f>
        <v>Frequency of discipline by type for complaints closed in 2025</v>
      </c>
      <c r="D34" s="174"/>
      <c r="E34" s="174"/>
      <c r="F34" s="174"/>
      <c r="G34" s="111"/>
      <c r="I34" s="159" t="str">
        <f>$B$8&amp;" Summary"</f>
        <v>2025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1</v>
      </c>
      <c r="I36" s="183"/>
      <c r="J36" s="184"/>
      <c r="K36" s="186"/>
      <c r="M36" s="190"/>
      <c r="N36" s="191"/>
      <c r="O36" s="191"/>
      <c r="P36" s="192"/>
    </row>
    <row r="37" spans="1:17" ht="18.75" customHeight="1" x14ac:dyDescent="0.3">
      <c r="E37" s="105"/>
      <c r="F37" s="101" t="s">
        <v>665</v>
      </c>
      <c r="G37" s="105">
        <f t="shared" si="7"/>
        <v>0</v>
      </c>
      <c r="I37" s="175" t="s">
        <v>643</v>
      </c>
      <c r="J37" s="176"/>
      <c r="K37" s="121">
        <f>SUM($E$67:$G$67)</f>
        <v>1</v>
      </c>
      <c r="M37" s="190"/>
      <c r="N37" s="191"/>
      <c r="O37" s="191"/>
      <c r="P37" s="192"/>
    </row>
    <row r="38" spans="1:17" ht="18.75" x14ac:dyDescent="0.3">
      <c r="B38" s="76"/>
      <c r="C38" s="76"/>
      <c r="D38" s="76"/>
      <c r="E38" s="106"/>
      <c r="F38" s="100" t="s">
        <v>666</v>
      </c>
      <c r="G38" s="106">
        <f t="shared" si="7"/>
        <v>0</v>
      </c>
      <c r="I38" s="177" t="s">
        <v>622</v>
      </c>
      <c r="J38" s="178"/>
      <c r="K38" s="122">
        <f>$B$82</f>
        <v>1</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1</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2025</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1</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2025: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1</v>
      </c>
      <c r="F66" s="29">
        <f t="shared" si="9"/>
        <v>0</v>
      </c>
      <c r="G66" s="29">
        <f t="shared" si="9"/>
        <v>0</v>
      </c>
      <c r="H66" s="35">
        <f t="shared" si="10"/>
        <v>4</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1</v>
      </c>
      <c r="F67" s="43">
        <f>SUM(F58:F66)</f>
        <v>0</v>
      </c>
      <c r="G67" s="43">
        <f>SUM(G58:G66)</f>
        <v>0</v>
      </c>
      <c r="H67" s="39">
        <f>IF(E67=0,"",(SUMIFS(OpenedNInitial,OpenedComplaintSource,H$57,OpenedComplaintReceived,"&gt;="&amp;$B$9,OpenedComplaintReceived,"&lt;="&amp;$B$10)/E67))</f>
        <v>4</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1</v>
      </c>
      <c r="C81" s="29">
        <f t="shared" si="15"/>
        <v>31</v>
      </c>
      <c r="D81" s="29">
        <f t="shared" si="16"/>
        <v>0</v>
      </c>
      <c r="E81" s="35">
        <f t="shared" si="17"/>
        <v>1</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1</v>
      </c>
      <c r="C82" s="43">
        <f>IF(B82=0, "", SUM(C73:C81) / B82)</f>
        <v>31</v>
      </c>
      <c r="D82" s="43">
        <f t="shared" ref="D82" si="22">SUM(D73:D81)</f>
        <v>0</v>
      </c>
      <c r="E82" s="39">
        <f t="shared" ref="E82:O82" si="23">SUM(E73:E81)</f>
        <v>1</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2025: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2025</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1</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1</v>
      </c>
      <c r="M100" s="55">
        <f t="shared" si="26"/>
        <v>0</v>
      </c>
    </row>
    <row r="101" spans="1:19" x14ac:dyDescent="0.25">
      <c r="A101" s="32" t="s">
        <v>615</v>
      </c>
      <c r="B101" s="231">
        <f>SUM(B92:C100)</f>
        <v>1</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1</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1</v>
      </c>
      <c r="C117" s="29">
        <f t="shared" si="28"/>
        <v>0</v>
      </c>
      <c r="D117" s="29">
        <f t="shared" si="28"/>
        <v>0</v>
      </c>
      <c r="E117" s="58">
        <f t="shared" si="29"/>
        <v>4</v>
      </c>
      <c r="F117" s="66" t="str">
        <f t="shared" si="30"/>
        <v/>
      </c>
      <c r="G117" s="66" t="str">
        <f t="shared" si="31"/>
        <v/>
      </c>
      <c r="H117" s="35">
        <f t="shared" si="32"/>
        <v>0</v>
      </c>
      <c r="I117" s="29">
        <f t="shared" si="32"/>
        <v>0</v>
      </c>
      <c r="J117" s="29">
        <f t="shared" si="32"/>
        <v>0</v>
      </c>
      <c r="K117" s="35">
        <f t="shared" si="33"/>
        <v>31</v>
      </c>
      <c r="L117" s="29" t="str">
        <f t="shared" si="34"/>
        <v/>
      </c>
    </row>
    <row r="118" spans="1:17" x14ac:dyDescent="0.25">
      <c r="A118" s="71" t="s">
        <v>615</v>
      </c>
      <c r="B118" s="43">
        <f>SUM(B109:B117)</f>
        <v>1</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4</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IF(B101-M101 = 0, "", (SUMIFS(PendingLengthOfCase, PendingInternalDisposition, "Sustained", PendingCloseDate, "&gt;="&amp;$B$9, PendingCloseDate, "&lt;="&amp;$B$10) + SUMIFS(OpenedLengthOfCase, OpenedInternalDisposition, "Sustained", OpenedCloseDate, "&gt;="&amp;$B$9, OpenedCloseDate, "&lt;="&amp;$B$10)) / (B101-M101))</f>
        <v>31</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2025: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2025</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1</v>
      </c>
      <c r="H139" s="30">
        <f t="shared" si="41"/>
        <v>0</v>
      </c>
      <c r="I139" s="31">
        <f t="shared" si="42"/>
        <v>0</v>
      </c>
      <c r="J139" s="76">
        <f t="shared" si="43"/>
        <v>4</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1</v>
      </c>
      <c r="H142" s="78">
        <f t="shared" si="47"/>
        <v>0</v>
      </c>
      <c r="I142" s="78">
        <f>SUM(I126:I141)</f>
        <v>0</v>
      </c>
      <c r="J142" s="79">
        <f>IF(G142=0,"",(SUMIFS(OpenedNInitial,OpenedComplaintSource,H$57,OpenedComplaintReceived,"&gt;="&amp;$B$9,OpenedComplaintReceived,"&lt;="&amp;$B$10)/G142))</f>
        <v>4</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1</v>
      </c>
      <c r="E160" s="76">
        <f t="shared" si="49"/>
        <v>31</v>
      </c>
      <c r="F160" s="31">
        <f t="shared" si="50"/>
        <v>0</v>
      </c>
      <c r="G160" s="30">
        <f t="shared" si="51"/>
        <v>1</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1</v>
      </c>
      <c r="E163" s="78">
        <f t="shared" ref="E163:Q163" si="62">SUM(E147:E162)</f>
        <v>31</v>
      </c>
      <c r="F163" s="78">
        <f t="shared" si="62"/>
        <v>0</v>
      </c>
      <c r="G163" s="79">
        <f t="shared" si="62"/>
        <v>1</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2025: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2025</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1</v>
      </c>
      <c r="E184" s="30">
        <f t="shared" si="63"/>
        <v>0</v>
      </c>
      <c r="F184" s="31">
        <f t="shared" si="63"/>
        <v>0</v>
      </c>
      <c r="G184" s="30">
        <f t="shared" si="64"/>
        <v>4</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1</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4</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1</v>
      </c>
      <c r="E206" s="129">
        <f t="shared" si="71"/>
        <v>0</v>
      </c>
      <c r="F206" s="70">
        <f t="shared" si="73"/>
        <v>0</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1</v>
      </c>
      <c r="E209" s="133">
        <f>SUM(E193:E208)</f>
        <v>0</v>
      </c>
      <c r="F209" s="78">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31</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2025: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2025</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2025: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2025</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2025: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0</v>
      </c>
      <c r="H277">
        <f t="shared" si="93"/>
        <v>0</v>
      </c>
      <c r="I277">
        <f t="shared" si="93"/>
        <v>0</v>
      </c>
      <c r="J277">
        <f t="shared" si="93"/>
        <v>0</v>
      </c>
      <c r="K277">
        <f t="shared" si="93"/>
        <v>0</v>
      </c>
      <c r="L277" s="74">
        <f t="shared" si="93"/>
        <v>0</v>
      </c>
      <c r="M277">
        <f t="shared" si="94"/>
        <v>1</v>
      </c>
    </row>
    <row r="278" spans="1:13" x14ac:dyDescent="0.25">
      <c r="A278" s="28" t="s">
        <v>697</v>
      </c>
      <c r="B278" s="87"/>
      <c r="C278" s="88"/>
      <c r="D278" s="87">
        <f>SUM(D269:D277)</f>
        <v>0</v>
      </c>
      <c r="E278" s="87">
        <f t="shared" ref="E278:L278" si="95">SUM(E269:E277)</f>
        <v>1</v>
      </c>
      <c r="F278" s="87">
        <f t="shared" si="95"/>
        <v>0</v>
      </c>
      <c r="G278" s="87">
        <f t="shared" si="95"/>
        <v>0</v>
      </c>
      <c r="H278" s="87">
        <f t="shared" si="95"/>
        <v>0</v>
      </c>
      <c r="I278" s="87">
        <f t="shared" si="95"/>
        <v>0</v>
      </c>
      <c r="J278" s="87">
        <f t="shared" si="95"/>
        <v>0</v>
      </c>
      <c r="K278" s="87">
        <f t="shared" si="95"/>
        <v>0</v>
      </c>
      <c r="L278" s="88">
        <f t="shared" si="95"/>
        <v>0</v>
      </c>
      <c r="M278" s="91">
        <f t="shared" si="94"/>
        <v>1</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1</v>
      </c>
      <c r="F294">
        <f t="shared" si="98"/>
        <v>0</v>
      </c>
      <c r="G294">
        <f t="shared" si="98"/>
        <v>0</v>
      </c>
      <c r="H294">
        <f t="shared" si="98"/>
        <v>0</v>
      </c>
      <c r="I294">
        <f t="shared" si="98"/>
        <v>0</v>
      </c>
      <c r="J294">
        <f t="shared" si="98"/>
        <v>0</v>
      </c>
      <c r="K294">
        <f t="shared" si="98"/>
        <v>0</v>
      </c>
      <c r="L294" s="74">
        <f t="shared" si="98"/>
        <v>0</v>
      </c>
      <c r="M294">
        <f t="shared" si="97"/>
        <v>1</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1</v>
      </c>
      <c r="F297" s="87">
        <f t="shared" si="99"/>
        <v>0</v>
      </c>
      <c r="G297" s="87">
        <f t="shared" si="99"/>
        <v>0</v>
      </c>
      <c r="H297" s="87">
        <f t="shared" si="99"/>
        <v>0</v>
      </c>
      <c r="I297" s="87">
        <f t="shared" si="99"/>
        <v>0</v>
      </c>
      <c r="J297" s="87">
        <f t="shared" si="99"/>
        <v>0</v>
      </c>
      <c r="K297" s="87">
        <f t="shared" si="99"/>
        <v>0</v>
      </c>
      <c r="L297" s="88">
        <f t="shared" si="99"/>
        <v>0</v>
      </c>
      <c r="M297" s="91">
        <f t="shared" si="97"/>
        <v>1</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topLeftCell="A3"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2025</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topLeftCell="L1" zoomScale="96" zoomScaleNormal="96" workbookViewId="0">
      <pane ySplit="4" topLeftCell="A5" activePane="bottomLeft" state="frozen"/>
      <selection pane="bottomLeft" activeCell="P6" sqref="P6"/>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topLeftCell="N1" zoomScale="96" zoomScaleNormal="96" workbookViewId="0">
      <pane ySplit="4" topLeftCell="A5" activePane="bottomLeft" state="frozen"/>
      <selection pane="bottomLeft" activeCell="AC5" sqref="AC5"/>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758</v>
      </c>
      <c r="B5" s="10">
        <v>45663</v>
      </c>
      <c r="C5" s="6">
        <v>6507</v>
      </c>
      <c r="D5" s="6" t="s">
        <v>760</v>
      </c>
      <c r="E5" s="6" t="s">
        <v>759</v>
      </c>
      <c r="F5" s="6" t="s">
        <v>28</v>
      </c>
      <c r="G5" s="6" t="s">
        <v>760</v>
      </c>
      <c r="H5" s="6" t="s">
        <v>761</v>
      </c>
      <c r="I5" s="6">
        <v>4</v>
      </c>
      <c r="J5" s="6" t="s">
        <v>657</v>
      </c>
      <c r="K5" s="6"/>
      <c r="L5" s="6" t="s">
        <v>692</v>
      </c>
      <c r="M5" s="21"/>
      <c r="N5" s="6"/>
      <c r="O5" s="21"/>
      <c r="P5" s="10">
        <v>45693</v>
      </c>
      <c r="Q5" s="15">
        <v>31</v>
      </c>
      <c r="R5" s="6" t="s">
        <v>21</v>
      </c>
      <c r="S5" s="6"/>
      <c r="T5" s="6" t="s">
        <v>24</v>
      </c>
      <c r="U5" s="6">
        <v>4</v>
      </c>
      <c r="V5" s="6" t="s">
        <v>657</v>
      </c>
      <c r="W5" s="6"/>
      <c r="X5" s="6"/>
      <c r="Y5" s="6" t="s">
        <v>692</v>
      </c>
      <c r="Z5" s="6" t="s">
        <v>664</v>
      </c>
      <c r="AA5" s="6"/>
      <c r="AB5" s="6" t="s">
        <v>629</v>
      </c>
      <c r="AC5" s="6"/>
    </row>
    <row r="6" spans="1:30" x14ac:dyDescent="0.25">
      <c r="M6" s="20"/>
      <c r="O6" s="20"/>
      <c r="Q6" s="12" t="str">
        <f t="shared" ref="Q6:Q15" ca="1" si="0">IF(B6&gt;1/1/1900, (IF(R6="Closed",(DATEDIF(B6,P6,"d"))-(DATEDIF(M6,O6,"d")),IF(OR(R6="Pending",ISBLANK(P6)),TODAY()-B6))),"-")</f>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zoomScale="78" zoomScaleNormal="100" zoomScaleSheetLayoutView="78" zoomScalePageLayoutView="60" workbookViewId="0">
      <selection activeCell="O122" sqref="O122:Q122"/>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45658</v>
      </c>
      <c r="C9" s="240">
        <f>'Start Here'!$C$16</f>
        <v>2025</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45747</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3" si="0">COUNTIFS(PendingMSO,$E16,PendingCloseDate,"&gt;="&amp;$B$9,PendingCloseDate,"&lt;="&amp;$B$10) + COUNTIFS(OpenedMSO,$E16,OpenedCloseDate,"&gt;="&amp;$B$9,OpenedCloseDate,"&lt;="&amp;$B$10)</f>
        <v>0</v>
      </c>
      <c r="G16" s="203"/>
      <c r="H16" s="201">
        <f t="shared" ref="H16:H23"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v>4</v>
      </c>
      <c r="G24" s="178"/>
      <c r="H24" s="177">
        <v>4</v>
      </c>
      <c r="I24" s="177"/>
      <c r="J24" s="177">
        <f t="shared" si="2"/>
        <v>0</v>
      </c>
      <c r="K24" s="177"/>
      <c r="L24" s="177">
        <f t="shared" si="3"/>
        <v>0</v>
      </c>
      <c r="M24" s="177"/>
    </row>
    <row r="25" spans="3:16" ht="18.75" x14ac:dyDescent="0.3">
      <c r="C25" s="87"/>
      <c r="D25" s="87"/>
      <c r="E25" s="102" t="s">
        <v>615</v>
      </c>
      <c r="F25" s="210">
        <f>SUM(F16:F24)</f>
        <v>4</v>
      </c>
      <c r="G25" s="211"/>
      <c r="H25" s="212">
        <f t="shared" ref="H25" si="4">SUM(H16:H24)</f>
        <v>4</v>
      </c>
      <c r="I25" s="212"/>
      <c r="J25" s="212">
        <f>SUM(J16:J24)</f>
        <v>0</v>
      </c>
      <c r="K25" s="212"/>
      <c r="L25" s="212">
        <f>SUM(L16:L24)</f>
        <v>0</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v>4</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f t="shared" ref="F32" si="5">IF(SUM($F31:$J31)=0, "", F31/SUM($F31:$J31))</f>
        <v>0</v>
      </c>
      <c r="G32" s="207"/>
      <c r="H32" s="208">
        <f t="shared" ref="H32" si="6">IF(SUM($F31:$J31)=0, "", H31/SUM($F31:$J31))</f>
        <v>1</v>
      </c>
      <c r="I32" s="208"/>
      <c r="J32" s="207">
        <f>IF(SUM($F31:$J31)=0, "", J31/SUM($F31:$J31))</f>
        <v>0</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1</v>
      </c>
      <c r="I36" s="183"/>
      <c r="J36" s="184"/>
      <c r="K36" s="186"/>
      <c r="M36" s="190"/>
      <c r="N36" s="191"/>
      <c r="O36" s="191"/>
      <c r="P36" s="192"/>
    </row>
    <row r="37" spans="1:17" ht="18.75" customHeight="1" x14ac:dyDescent="0.3">
      <c r="E37" s="105"/>
      <c r="F37" s="101" t="s">
        <v>665</v>
      </c>
      <c r="G37" s="105">
        <f t="shared" si="7"/>
        <v>0</v>
      </c>
      <c r="I37" s="175" t="s">
        <v>643</v>
      </c>
      <c r="J37" s="176"/>
      <c r="K37" s="121">
        <v>1</v>
      </c>
      <c r="M37" s="190"/>
      <c r="N37" s="191"/>
      <c r="O37" s="191"/>
      <c r="P37" s="192"/>
    </row>
    <row r="38" spans="1:17" ht="18.75" x14ac:dyDescent="0.3">
      <c r="B38" s="76"/>
      <c r="C38" s="76"/>
      <c r="D38" s="76"/>
      <c r="E38" s="106"/>
      <c r="F38" s="100" t="s">
        <v>666</v>
      </c>
      <c r="G38" s="106">
        <f t="shared" si="7"/>
        <v>0</v>
      </c>
      <c r="I38" s="177" t="s">
        <v>622</v>
      </c>
      <c r="J38" s="178"/>
      <c r="K38" s="122">
        <v>1</v>
      </c>
      <c r="M38" s="190"/>
      <c r="N38" s="191"/>
      <c r="O38" s="191"/>
      <c r="P38" s="192"/>
    </row>
    <row r="39" spans="1:17" ht="18.75" x14ac:dyDescent="0.3">
      <c r="E39" s="105"/>
      <c r="F39" s="101" t="s">
        <v>667</v>
      </c>
      <c r="G39" s="105">
        <f t="shared" si="7"/>
        <v>0</v>
      </c>
      <c r="I39" s="179" t="s">
        <v>623</v>
      </c>
      <c r="J39" s="180"/>
      <c r="K39" s="121">
        <v>1</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Q1</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1</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v>4</v>
      </c>
      <c r="F66" s="29">
        <f t="shared" si="9"/>
        <v>0</v>
      </c>
      <c r="G66" s="29">
        <f t="shared" si="9"/>
        <v>0</v>
      </c>
      <c r="H66" s="35">
        <f t="shared" si="10"/>
        <v>1</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4</v>
      </c>
      <c r="F67" s="43">
        <f>SUM(F58:F66)</f>
        <v>0</v>
      </c>
      <c r="G67" s="43">
        <f>SUM(G58:G66)</f>
        <v>0</v>
      </c>
      <c r="H67" s="39">
        <f>IF(E67=0,"",(SUMIFS(OpenedNInitial,OpenedComplaintSource,H$57,OpenedComplaintReceived,"&gt;="&amp;$B$9,OpenedComplaintReceived,"&lt;="&amp;$B$10)/E67))</f>
        <v>1</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0"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v>4</v>
      </c>
      <c r="C81" s="29">
        <f t="shared" si="15"/>
        <v>7.75</v>
      </c>
      <c r="D81" s="29">
        <f t="shared" si="16"/>
        <v>0</v>
      </c>
      <c r="E81" s="35">
        <f t="shared" si="17"/>
        <v>1</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4</v>
      </c>
      <c r="C82" s="43">
        <f>IF(B82=0, "", SUM(C73:C81) / B82)</f>
        <v>1.9375</v>
      </c>
      <c r="D82" s="43">
        <f t="shared" ref="D82" si="22">SUM(D73:D81)</f>
        <v>0</v>
      </c>
      <c r="E82" s="39">
        <f t="shared" ref="E82:O82" si="23">SUM(E73:E81)</f>
        <v>1</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2025</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99"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v>4</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v>4</v>
      </c>
      <c r="M100" s="55">
        <f t="shared" si="26"/>
        <v>0</v>
      </c>
    </row>
    <row r="101" spans="1:19" x14ac:dyDescent="0.25">
      <c r="A101" s="32" t="s">
        <v>615</v>
      </c>
      <c r="B101" s="231">
        <f>SUM(B92:C100)</f>
        <v>4</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4</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6"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v>4</v>
      </c>
      <c r="C117" s="29">
        <f t="shared" si="28"/>
        <v>0</v>
      </c>
      <c r="D117" s="29">
        <f t="shared" si="28"/>
        <v>0</v>
      </c>
      <c r="E117" s="58">
        <v>4</v>
      </c>
      <c r="F117" s="66" t="str">
        <f t="shared" si="30"/>
        <v/>
      </c>
      <c r="G117" s="66" t="str">
        <f t="shared" si="31"/>
        <v/>
      </c>
      <c r="H117" s="35">
        <f t="shared" si="32"/>
        <v>0</v>
      </c>
      <c r="I117" s="29">
        <f t="shared" si="32"/>
        <v>0</v>
      </c>
      <c r="J117" s="29">
        <f t="shared" si="32"/>
        <v>0</v>
      </c>
      <c r="K117" s="35">
        <f t="shared" si="33"/>
        <v>7.75</v>
      </c>
      <c r="L117" s="29" t="str">
        <f t="shared" si="34"/>
        <v/>
      </c>
    </row>
    <row r="118" spans="1:17" x14ac:dyDescent="0.25">
      <c r="A118" s="71" t="s">
        <v>615</v>
      </c>
      <c r="B118" s="43">
        <f>SUM(B109:B117)</f>
        <v>4</v>
      </c>
      <c r="C118" s="43">
        <f t="shared" ref="C118:D118" si="35">SUM(C109:C117)</f>
        <v>0</v>
      </c>
      <c r="D118" s="43">
        <f t="shared" si="35"/>
        <v>0</v>
      </c>
      <c r="E118" s="36">
        <v>4</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IF(B101-M101 = 0, "", (SUMIFS(PendingLengthOfCase, PendingInternalDisposition, "Sustained", PendingCloseDate, "&gt;="&amp;$B$9, PendingCloseDate, "&lt;="&amp;$B$10) + SUMIFS(OpenedLengthOfCase, OpenedInternalDisposition, "Sustained", OpenedCloseDate, "&gt;="&amp;$B$9, OpenedCloseDate, "&lt;="&amp;$B$10)) / (B101-M101))</f>
        <v>7.75</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2025</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v>4</v>
      </c>
      <c r="H139" s="30">
        <f t="shared" si="41"/>
        <v>0</v>
      </c>
      <c r="I139" s="31">
        <f t="shared" si="42"/>
        <v>0</v>
      </c>
      <c r="J139" s="76">
        <f t="shared" si="43"/>
        <v>1</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4</v>
      </c>
      <c r="H142" s="78">
        <f t="shared" si="47"/>
        <v>0</v>
      </c>
      <c r="I142" s="78">
        <f>SUM(I126:I141)</f>
        <v>0</v>
      </c>
      <c r="J142" s="79">
        <f>IF(G142=0,"",(SUMIFS(OpenedNInitial,OpenedComplaintSource,H$57,OpenedComplaintReceived,"&gt;="&amp;$B$9,OpenedComplaintReceived,"&lt;="&amp;$B$10)/G142))</f>
        <v>1</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v>4</v>
      </c>
      <c r="E160" s="76">
        <f t="shared" si="49"/>
        <v>7.75</v>
      </c>
      <c r="F160" s="31">
        <f t="shared" si="50"/>
        <v>0</v>
      </c>
      <c r="G160" s="30">
        <f t="shared" si="51"/>
        <v>1</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4</v>
      </c>
      <c r="E163" s="78">
        <f t="shared" ref="E163:Q163" si="62">SUM(E147:E162)</f>
        <v>7.75</v>
      </c>
      <c r="F163" s="78">
        <f t="shared" si="62"/>
        <v>0</v>
      </c>
      <c r="G163" s="79">
        <f t="shared" si="62"/>
        <v>1</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2025</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v>4</v>
      </c>
      <c r="E184" s="30">
        <f t="shared" si="63"/>
        <v>0</v>
      </c>
      <c r="F184" s="31">
        <f t="shared" si="63"/>
        <v>0</v>
      </c>
      <c r="G184" s="30">
        <f t="shared" si="64"/>
        <v>1</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4</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v>4</v>
      </c>
      <c r="E206" s="129">
        <f t="shared" si="71"/>
        <v>0</v>
      </c>
      <c r="F206" s="70">
        <v>4</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4</v>
      </c>
      <c r="E209" s="133">
        <f>SUM(E193:E208)</f>
        <v>0</v>
      </c>
      <c r="F209" s="78">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7.75</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2025</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2025</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6"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0</v>
      </c>
      <c r="H277">
        <f t="shared" si="93"/>
        <v>0</v>
      </c>
      <c r="I277">
        <f t="shared" si="93"/>
        <v>0</v>
      </c>
      <c r="J277">
        <f t="shared" si="93"/>
        <v>0</v>
      </c>
      <c r="K277">
        <f t="shared" si="93"/>
        <v>0</v>
      </c>
      <c r="L277" s="74">
        <f t="shared" si="93"/>
        <v>0</v>
      </c>
      <c r="M277">
        <v>4</v>
      </c>
    </row>
    <row r="278" spans="1:13" x14ac:dyDescent="0.25">
      <c r="A278" s="28" t="s">
        <v>697</v>
      </c>
      <c r="B278" s="87"/>
      <c r="C278" s="88"/>
      <c r="D278" s="87">
        <f>SUM(D269:D277)</f>
        <v>0</v>
      </c>
      <c r="E278" s="87">
        <f t="shared" ref="E278:L278" si="95">SUM(E269:E277)</f>
        <v>1</v>
      </c>
      <c r="F278" s="87">
        <f t="shared" si="95"/>
        <v>0</v>
      </c>
      <c r="G278" s="87">
        <f t="shared" si="95"/>
        <v>0</v>
      </c>
      <c r="H278" s="87">
        <f t="shared" si="95"/>
        <v>0</v>
      </c>
      <c r="I278" s="87">
        <f t="shared" si="95"/>
        <v>0</v>
      </c>
      <c r="J278" s="87">
        <f t="shared" si="95"/>
        <v>0</v>
      </c>
      <c r="K278" s="87">
        <f t="shared" si="95"/>
        <v>0</v>
      </c>
      <c r="L278" s="88">
        <f t="shared" si="95"/>
        <v>0</v>
      </c>
      <c r="M278" s="91">
        <v>4</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v>4</v>
      </c>
      <c r="F294">
        <f t="shared" si="98"/>
        <v>0</v>
      </c>
      <c r="G294">
        <f t="shared" si="98"/>
        <v>0</v>
      </c>
      <c r="H294">
        <f t="shared" si="98"/>
        <v>0</v>
      </c>
      <c r="I294">
        <f t="shared" si="98"/>
        <v>0</v>
      </c>
      <c r="J294">
        <f t="shared" si="98"/>
        <v>0</v>
      </c>
      <c r="K294">
        <f t="shared" si="98"/>
        <v>0</v>
      </c>
      <c r="L294" s="74">
        <f t="shared" si="98"/>
        <v>0</v>
      </c>
      <c r="M294">
        <f t="shared" si="97"/>
        <v>4</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4</v>
      </c>
      <c r="F297" s="87">
        <f t="shared" si="99"/>
        <v>0</v>
      </c>
      <c r="G297" s="87">
        <f t="shared" si="99"/>
        <v>0</v>
      </c>
      <c r="H297" s="87">
        <f t="shared" si="99"/>
        <v>0</v>
      </c>
      <c r="I297" s="87">
        <f t="shared" si="99"/>
        <v>0</v>
      </c>
      <c r="J297" s="87">
        <f t="shared" si="99"/>
        <v>0</v>
      </c>
      <c r="K297" s="87">
        <f t="shared" si="99"/>
        <v>0</v>
      </c>
      <c r="L297" s="88">
        <f t="shared" si="99"/>
        <v>0</v>
      </c>
      <c r="M297" s="91">
        <f t="shared" si="97"/>
        <v>4</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45748</v>
      </c>
      <c r="C9" s="240">
        <f>'Start Here'!$C$16</f>
        <v>2025</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45838</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Q2</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2025</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2025</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2025</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2025</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2025</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45839</v>
      </c>
      <c r="C9" s="240">
        <f>'Start Here'!$C$16</f>
        <v>2025</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45930</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Q3</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2025</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2025</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2025</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2025</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2025</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45931</v>
      </c>
      <c r="C9" s="240">
        <f>'Start Here'!$C$16</f>
        <v>2025</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46022</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Q4</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Delaware River &amp; Bay Authority Police Department</v>
      </c>
      <c r="N48" s="153"/>
      <c r="O48" s="153"/>
      <c r="P48" s="153"/>
      <c r="Q48" s="153"/>
    </row>
    <row r="49" spans="1:31" x14ac:dyDescent="0.25">
      <c r="A49" s="1"/>
      <c r="K49" s="152" t="s">
        <v>34</v>
      </c>
      <c r="L49" s="152"/>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757</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2025</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757</v>
      </c>
      <c r="P122" s="153"/>
      <c r="Q122" s="153"/>
    </row>
    <row r="123" spans="1:17" x14ac:dyDescent="0.25">
      <c r="D123" s="217" t="s">
        <v>25</v>
      </c>
      <c r="E123" s="217"/>
      <c r="F123" s="217"/>
      <c r="G123" s="217"/>
      <c r="H123" s="217"/>
      <c r="I123" s="217"/>
      <c r="J123" s="217"/>
      <c r="K123" s="217"/>
      <c r="L123" s="217"/>
      <c r="M123" s="152" t="s">
        <v>34</v>
      </c>
      <c r="N123" s="152"/>
      <c r="O123" s="12">
        <f>'Start Here'!$C$16</f>
        <v>2025</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757</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2025</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757</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2025</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757</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2025</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757</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Field, Christopher</cp:lastModifiedBy>
  <cp:lastPrinted>2025-12-09T19:16:12Z</cp:lastPrinted>
  <dcterms:created xsi:type="dcterms:W3CDTF">2020-04-02T16:56:18Z</dcterms:created>
  <dcterms:modified xsi:type="dcterms:W3CDTF">2026-01-20T19:42:21Z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